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46" windowWidth="18225" windowHeight="10125" activeTab="0"/>
  </bookViews>
  <sheets>
    <sheet name="計算表" sheetId="1" r:id="rId1"/>
    <sheet name="解説等" sheetId="2" r:id="rId2"/>
  </sheets>
  <definedNames/>
  <calcPr fullCalcOnLoad="1"/>
</workbook>
</file>

<file path=xl/sharedStrings.xml><?xml version="1.0" encoding="utf-8"?>
<sst xmlns="http://schemas.openxmlformats.org/spreadsheetml/2006/main" count="106" uniqueCount="64">
  <si>
    <t>会社か個人事業か判定シート</t>
  </si>
  <si>
    <t>（この色のセルに金額を入れます。円単位）</t>
  </si>
  <si>
    <t>予想される利益金額</t>
  </si>
  <si>
    <t>（個人の所得ベースの利益額。ただし専従者給与（家族の給料）を引かない額を記入する）</t>
  </si>
  <si>
    <t>計算欄</t>
  </si>
  <si>
    <t>会社から受け取る取る給与金額</t>
  </si>
  <si>
    <t>（上記の所得のうち、いくらを給与として自分で受け取るかを記入）</t>
  </si>
  <si>
    <t>合計</t>
  </si>
  <si>
    <t>本人分</t>
  </si>
  <si>
    <t>（経営者であるあなたの給与＜個人のみの所得計算では不要＞）</t>
  </si>
  <si>
    <t>奥様分</t>
  </si>
  <si>
    <t>（奥様が会社の仕事に従事する場合の給与額＜個人の場合なら奥様の専従者給与＞）</t>
  </si>
  <si>
    <t>その他家族１</t>
  </si>
  <si>
    <t>その他家族２</t>
  </si>
  <si>
    <t>（同上）</t>
  </si>
  <si>
    <t>　　合計</t>
  </si>
  <si>
    <t>（この額が（ａ）を超えると会社は赤字になってしまいますので、注意）</t>
  </si>
  <si>
    <t>会社の税引前利益</t>
  </si>
  <si>
    <t>【個人事業なら】</t>
  </si>
  <si>
    <t>所得の生じる人</t>
  </si>
  <si>
    <t>所得税</t>
  </si>
  <si>
    <t>住民税</t>
  </si>
  <si>
    <t>事業税</t>
  </si>
  <si>
    <t>所得金額</t>
  </si>
  <si>
    <t>小計</t>
  </si>
  <si>
    <t>都道府県民税</t>
  </si>
  <si>
    <t>市町村民税</t>
  </si>
  <si>
    <t>本人</t>
  </si>
  <si>
    <t>奥様</t>
  </si>
  <si>
    <t>－</t>
  </si>
  <si>
    <t>その他１</t>
  </si>
  <si>
    <t>その他２</t>
  </si>
  <si>
    <t>　家族での合計</t>
  </si>
  <si>
    <t>【会社なら】</t>
  </si>
  <si>
    <t>所得の生じる主体</t>
  </si>
  <si>
    <t>所得税／法人税</t>
  </si>
  <si>
    <t>会社</t>
  </si>
  <si>
    <t>　会社個人合計</t>
  </si>
  <si>
    <t>有利な方</t>
  </si>
  <si>
    <t>差額</t>
  </si>
  <si>
    <t>利用のヒント</t>
  </si>
  <si>
    <t>　この上記の表への数値の記入を間違えると意味がありませんので、解説をしておきます。</t>
  </si>
  <si>
    <t>個人の所得計算の場合、売上高等から、従業員の給与や仕入高、消耗品費などを差し引き、「差引金額」を</t>
  </si>
  <si>
    <t>算出し、そこから家族への給与（専従者給与と言います）を差し引いて所得金額となります。ここでの「予</t>
  </si>
  <si>
    <t>想される利益金額」（Ｃ３欄）には、この「差引金額」に当たる数字を入力してもらいたいわけです。これ</t>
  </si>
  <si>
    <t>により家族の給与を変動させたときの家族全体での税額の変化をシミュレーションできるからです。</t>
  </si>
  <si>
    <t>　という説明は、法人の損益計算を念頭におかれている方には分かりずらいと思います。上記を法人の損益</t>
  </si>
  <si>
    <t>計算的に表現するならば、Ｃ３欄には、「税引前当期利益＋自分と家族の給料額」を入力するということが</t>
  </si>
  <si>
    <t>できます。会社から自分と家族がもらう給与を変化させることで個人と会社の税額の合計がどのように変わ</t>
  </si>
  <si>
    <t>かをシミュレーションしたいからです。</t>
  </si>
  <si>
    <t>　と、ここまでの概念がわかれば、後のＣ５からＣ８までは埋めることができますね。</t>
  </si>
  <si>
    <t>注意点</t>
  </si>
  <si>
    <t>　また個人の控除項目についても、基礎控除だけを入れ、その他社会保険控除、医療費控除などは考えてお</t>
  </si>
  <si>
    <t>りません。考えようがありませんから。また、家族について、１０３万円以下の給与なら、扶養家族になる</t>
  </si>
  <si>
    <t>はずですが、そういう配慮も入れておりません、あしからずご容赦ください。</t>
  </si>
  <si>
    <t>平成20年度版</t>
  </si>
  <si>
    <t>　この表では、概算のシミュレーションができればよいということで、３千円前後かかる個人の住民税均等割</t>
  </si>
  <si>
    <t>については考慮しておりません。</t>
  </si>
  <si>
    <t>　平成１８年度税制改正より導入されている業務主宰者税制についての影響は、加味しておりません。この</t>
  </si>
  <si>
    <t>税制は、株主構成、役員構成によっても変化するため、このシミュレーションには馴染みません。詳細は、</t>
  </si>
  <si>
    <t>税理士にご質問ください。</t>
  </si>
  <si>
    <t>　会社の資本金は、１０００万円以下、すなわち法人住民税均等割りは７万円を想定しています。</t>
  </si>
  <si>
    <t>（その他の家族－ご両親など－に給与を払う場合）</t>
  </si>
  <si>
    <t>　なお、給与を払った家族に勤務の実態がない場合、その給与は経費とはなりませんので、ご注意ください。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</si>
</sst>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_ ;[Red]\-#,##0.0\ "/>
    <numFmt numFmtId="178" formatCode="#,##0_ ;[Red]\-#,##0\ "/>
  </numFmts>
  <fonts count="6">
    <font>
      <sz val="11"/>
      <name val="ＭＳ 明朝"/>
      <family val="1"/>
    </font>
    <font>
      <b/>
      <sz val="11"/>
      <name val="ＭＳ 明朝"/>
      <family val="1"/>
    </font>
    <font>
      <i/>
      <sz val="11"/>
      <name val="ＭＳ 明朝"/>
      <family val="1"/>
    </font>
    <font>
      <b/>
      <i/>
      <sz val="11"/>
      <name val="ＭＳ 明朝"/>
      <family val="1"/>
    </font>
    <font>
      <b/>
      <sz val="12"/>
      <name val="ＭＳ ゴシック"/>
      <family val="3"/>
    </font>
    <font>
      <sz val="6"/>
      <name val="ＭＳ Ｐ明朝"/>
      <family val="1"/>
    </font>
  </fonts>
  <fills count="3">
    <fill>
      <patternFill/>
    </fill>
    <fill>
      <patternFill patternType="gray125"/>
    </fill>
    <fill>
      <patternFill patternType="solid">
        <fgColor indexed="26"/>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38" fontId="0" fillId="0" borderId="1" xfId="16" applyBorder="1" applyAlignment="1">
      <alignment/>
    </xf>
    <xf numFmtId="38" fontId="0" fillId="0" borderId="10" xfId="16" applyBorder="1" applyAlignment="1">
      <alignment/>
    </xf>
    <xf numFmtId="38" fontId="0" fillId="0" borderId="11" xfId="16" applyBorder="1" applyAlignment="1">
      <alignment/>
    </xf>
    <xf numFmtId="38" fontId="0" fillId="0" borderId="0" xfId="0" applyNumberFormat="1" applyAlignment="1">
      <alignment/>
    </xf>
    <xf numFmtId="38" fontId="0" fillId="0" borderId="0" xfId="16" applyBorder="1" applyAlignment="1">
      <alignment/>
    </xf>
    <xf numFmtId="38" fontId="0" fillId="0" borderId="12" xfId="16" applyBorder="1" applyAlignment="1">
      <alignment/>
    </xf>
    <xf numFmtId="38" fontId="0" fillId="0" borderId="6" xfId="16" applyBorder="1" applyAlignment="1">
      <alignment/>
    </xf>
    <xf numFmtId="38" fontId="0" fillId="0" borderId="11" xfId="16" applyBorder="1" applyAlignment="1">
      <alignment horizontal="center"/>
    </xf>
    <xf numFmtId="38" fontId="0" fillId="0" borderId="8" xfId="16" applyBorder="1" applyAlignment="1">
      <alignment/>
    </xf>
    <xf numFmtId="38" fontId="0" fillId="0" borderId="4" xfId="16" applyBorder="1" applyAlignment="1">
      <alignment/>
    </xf>
    <xf numFmtId="38" fontId="0" fillId="0" borderId="3" xfId="16" applyBorder="1" applyAlignment="1">
      <alignment/>
    </xf>
    <xf numFmtId="38" fontId="0" fillId="0" borderId="0" xfId="16" applyAlignment="1">
      <alignment/>
    </xf>
    <xf numFmtId="38" fontId="0" fillId="0" borderId="13" xfId="16" applyBorder="1" applyAlignment="1">
      <alignment/>
    </xf>
    <xf numFmtId="38" fontId="0" fillId="0" borderId="14" xfId="16" applyBorder="1" applyAlignment="1">
      <alignment/>
    </xf>
    <xf numFmtId="38" fontId="0" fillId="0" borderId="13" xfId="16" applyBorder="1" applyAlignment="1">
      <alignment horizontal="center"/>
    </xf>
    <xf numFmtId="38" fontId="0" fillId="0" borderId="15" xfId="16" applyBorder="1" applyAlignment="1">
      <alignment/>
    </xf>
    <xf numFmtId="38" fontId="0" fillId="2" borderId="1" xfId="16" applyFill="1" applyBorder="1" applyAlignment="1">
      <alignment/>
    </xf>
    <xf numFmtId="38" fontId="0" fillId="2" borderId="11" xfId="16" applyFill="1" applyBorder="1" applyAlignment="1">
      <alignment/>
    </xf>
    <xf numFmtId="38" fontId="0" fillId="2" borderId="10" xfId="16" applyFill="1" applyBorder="1" applyAlignment="1">
      <alignment/>
    </xf>
    <xf numFmtId="38" fontId="0" fillId="2" borderId="13" xfId="16" applyFill="1" applyBorder="1" applyAlignment="1">
      <alignment/>
    </xf>
    <xf numFmtId="0" fontId="0" fillId="2" borderId="0" xfId="0" applyFill="1" applyAlignment="1">
      <alignment/>
    </xf>
    <xf numFmtId="176" fontId="0" fillId="0" borderId="15" xfId="18" applyNumberForma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33"/>
  <sheetViews>
    <sheetView tabSelected="1" zoomScale="95" zoomScaleNormal="95" workbookViewId="0" topLeftCell="A1">
      <selection activeCell="D8" sqref="D8"/>
    </sheetView>
  </sheetViews>
  <sheetFormatPr defaultColWidth="8.796875" defaultRowHeight="14.25"/>
  <cols>
    <col min="1" max="1" width="4.59765625" style="0" customWidth="1"/>
    <col min="2" max="2" width="18.3984375" style="0" customWidth="1"/>
    <col min="3" max="3" width="10.8984375" style="0" customWidth="1"/>
    <col min="4" max="4" width="10.59765625" style="0" customWidth="1"/>
    <col min="5" max="5" width="10.09765625" style="0" customWidth="1"/>
    <col min="6" max="6" width="12" style="0" customWidth="1"/>
    <col min="10" max="10" width="25.09765625" style="0" customWidth="1"/>
    <col min="11" max="11" width="10" style="0" customWidth="1"/>
    <col min="12" max="12" width="10.8984375" style="0" customWidth="1"/>
    <col min="18" max="18" width="11.59765625" style="0" bestFit="1" customWidth="1"/>
    <col min="19" max="19" width="10.8984375" style="0" customWidth="1"/>
    <col min="20" max="20" width="10.69921875" style="0" customWidth="1"/>
    <col min="22" max="22" width="15" style="0" bestFit="1" customWidth="1"/>
  </cols>
  <sheetData>
    <row r="1" spans="1:8" ht="13.5">
      <c r="A1" t="s">
        <v>0</v>
      </c>
      <c r="D1" s="34" t="s">
        <v>1</v>
      </c>
      <c r="H1" t="s">
        <v>55</v>
      </c>
    </row>
    <row r="3" spans="1:12" ht="13.5">
      <c r="A3" s="2" t="s">
        <v>2</v>
      </c>
      <c r="B3" s="3"/>
      <c r="C3" s="30">
        <v>50000000</v>
      </c>
      <c r="D3" s="2" t="s">
        <v>3</v>
      </c>
      <c r="E3" s="4"/>
      <c r="F3" s="4"/>
      <c r="G3" s="4"/>
      <c r="H3" s="4"/>
      <c r="I3" s="4"/>
      <c r="J3" s="3"/>
      <c r="L3" t="s">
        <v>4</v>
      </c>
    </row>
    <row r="4" spans="1:18" ht="13.5">
      <c r="A4" s="5" t="s">
        <v>5</v>
      </c>
      <c r="B4" s="6"/>
      <c r="C4" s="15"/>
      <c r="D4" s="5" t="s">
        <v>6</v>
      </c>
      <c r="E4" s="12"/>
      <c r="F4" s="12"/>
      <c r="G4" s="12"/>
      <c r="H4" s="12"/>
      <c r="I4" s="12"/>
      <c r="J4" s="6"/>
      <c r="R4" t="s">
        <v>7</v>
      </c>
    </row>
    <row r="5" spans="1:18" ht="13.5">
      <c r="A5" s="7"/>
      <c r="B5" s="10" t="s">
        <v>8</v>
      </c>
      <c r="C5" s="32">
        <v>30000000</v>
      </c>
      <c r="D5" s="7" t="s">
        <v>9</v>
      </c>
      <c r="E5" s="13"/>
      <c r="F5" s="13"/>
      <c r="G5" s="13"/>
      <c r="H5" s="13"/>
      <c r="I5" s="13"/>
      <c r="J5" s="8"/>
      <c r="L5">
        <f>IF(C5&lt;=1620000,650000,0)</f>
        <v>0</v>
      </c>
      <c r="M5">
        <f>IF(IF(C5&lt;=1620000,"",C5)&lt;=1800000,C5*0.4,"")</f>
      </c>
      <c r="N5">
        <f>IF(IF(C5&lt;=1800000,"",C5)&lt;=3600000,C5*0.3+180000,"")</f>
      </c>
      <c r="O5">
        <f>IF(IF(C5&lt;=3600000,"",C5)&lt;=6600000,C5*0.2+540000,"")</f>
      </c>
      <c r="P5">
        <f>IF(IF(C5&lt;=6600000,"",C5)&lt;=10000000,C5*0.1+1200000,"")</f>
      </c>
      <c r="Q5">
        <f>IF(C5&lt;=10000000,"",C5*0.05+1700000)</f>
        <v>3200000</v>
      </c>
      <c r="R5">
        <f>SUM(L5:Q5)</f>
        <v>3200000</v>
      </c>
    </row>
    <row r="6" spans="1:18" ht="13.5">
      <c r="A6" s="7"/>
      <c r="B6" s="11" t="s">
        <v>10</v>
      </c>
      <c r="C6" s="31">
        <v>12000000</v>
      </c>
      <c r="D6" s="7" t="s">
        <v>11</v>
      </c>
      <c r="E6" s="13"/>
      <c r="F6" s="13"/>
      <c r="G6" s="13"/>
      <c r="H6" s="13"/>
      <c r="I6" s="13"/>
      <c r="J6" s="8"/>
      <c r="L6">
        <f>IF(C6&lt;=1620000,650000,0)</f>
        <v>0</v>
      </c>
      <c r="M6">
        <f>IF(IF(C6&lt;=1620000,"",C6)&lt;=1800000,C6*0.4,"")</f>
      </c>
      <c r="N6">
        <f>IF(IF(C6&lt;=1800000,"",C6)&lt;=3600000,C6*0.3+180000,"")</f>
      </c>
      <c r="O6">
        <f>IF(IF(C6&lt;=3600000,"",C6)&lt;=6600000,C6*0.2+540000,"")</f>
      </c>
      <c r="P6">
        <f>IF(IF(C6&lt;=6600000,"",C6)&lt;=10000000,C6*0.1+1200000,"")</f>
      </c>
      <c r="Q6">
        <f>IF(C6&lt;=10000000,"",C6*0.05+1700000)</f>
        <v>2300000</v>
      </c>
      <c r="R6">
        <f>SUM(L6:Q6)</f>
        <v>2300000</v>
      </c>
    </row>
    <row r="7" spans="1:18" ht="13.5">
      <c r="A7" s="7"/>
      <c r="B7" s="11" t="s">
        <v>12</v>
      </c>
      <c r="C7" s="31">
        <v>5000000</v>
      </c>
      <c r="D7" s="7" t="s">
        <v>62</v>
      </c>
      <c r="E7" s="13"/>
      <c r="F7" s="13"/>
      <c r="G7" s="13"/>
      <c r="H7" s="13"/>
      <c r="I7" s="13"/>
      <c r="J7" s="8"/>
      <c r="L7">
        <f>IF(C7&lt;=1620000,650000,0)</f>
        <v>0</v>
      </c>
      <c r="M7">
        <f>IF(IF(C7&lt;=1620000,"",C7)&lt;=1800000,C7*0.4,"")</f>
      </c>
      <c r="N7">
        <f>IF(IF(C7&lt;=1800000,"",C7)&lt;=3600000,C7*0.3+180000,"")</f>
      </c>
      <c r="O7">
        <f>IF(IF(C7&lt;=3600000,"",C7)&lt;=6600000,C7*0.2+540000,"")</f>
        <v>1540000</v>
      </c>
      <c r="P7">
        <f>IF(IF(C7&lt;=6600000,"",C7)&lt;=10000000,C7*0.1+1200000,"")</f>
      </c>
      <c r="Q7">
        <f>IF(C7&lt;=10000000,"",C7*0.05+1700000)</f>
      </c>
      <c r="R7">
        <f>SUM(L7:Q7)</f>
        <v>1540000</v>
      </c>
    </row>
    <row r="8" spans="1:18" ht="13.5">
      <c r="A8" s="7"/>
      <c r="B8" s="11" t="s">
        <v>13</v>
      </c>
      <c r="C8" s="33">
        <v>1030000</v>
      </c>
      <c r="D8" s="7" t="s">
        <v>14</v>
      </c>
      <c r="E8" s="13"/>
      <c r="F8" s="13"/>
      <c r="G8" s="13"/>
      <c r="H8" s="13"/>
      <c r="I8" s="13"/>
      <c r="J8" s="8"/>
      <c r="L8">
        <f>IF(C8&lt;=1620000,650000,0)</f>
        <v>650000</v>
      </c>
      <c r="M8">
        <f>IF(IF(C8&lt;=1620000,"",C8)&lt;=1800000,C8*0.4,"")</f>
      </c>
      <c r="N8">
        <f>IF(IF(C8&lt;=1800000,"",C8)&lt;=3600000,C8*0.3+180000,"")</f>
      </c>
      <c r="O8">
        <f>IF(IF(C8&lt;=3600000,"",C8)&lt;=6600000,C8*0.2+540000,"")</f>
      </c>
      <c r="P8">
        <f>IF(IF(C8&lt;=6600000,"",C8)&lt;=10000000,C8*0.1+1200000,"")</f>
      </c>
      <c r="Q8">
        <f>IF(C8&lt;=10000000,"",C8*0.05+1700000)</f>
      </c>
      <c r="R8">
        <f>SUM(L8:Q8)</f>
        <v>650000</v>
      </c>
    </row>
    <row r="9" spans="1:10" ht="13.5">
      <c r="A9" s="9"/>
      <c r="B9" s="1" t="s">
        <v>15</v>
      </c>
      <c r="C9" s="14">
        <f>SUM(C5:C8)</f>
        <v>48030000</v>
      </c>
      <c r="D9" s="2" t="s">
        <v>16</v>
      </c>
      <c r="E9" s="4"/>
      <c r="F9" s="4"/>
      <c r="G9" s="4"/>
      <c r="H9" s="4"/>
      <c r="I9" s="4"/>
      <c r="J9" s="3"/>
    </row>
    <row r="10" spans="1:10" ht="13.5">
      <c r="A10" s="2" t="s">
        <v>17</v>
      </c>
      <c r="B10" s="3"/>
      <c r="C10" s="14">
        <f>IF(C3-C9&lt;=0,0,C3-C9)</f>
        <v>1970000</v>
      </c>
      <c r="D10" s="2"/>
      <c r="E10" s="4"/>
      <c r="F10" s="4"/>
      <c r="G10" s="4"/>
      <c r="H10" s="4"/>
      <c r="I10" s="4"/>
      <c r="J10" s="3"/>
    </row>
    <row r="11" ht="13.5">
      <c r="C11">
        <f>IF(C9&lt;=C3,"","赤字ですがよろしいですね")</f>
      </c>
    </row>
    <row r="14" spans="1:25" ht="13.5">
      <c r="A14" t="s">
        <v>18</v>
      </c>
      <c r="Y14" s="17"/>
    </row>
    <row r="15" spans="2:28" ht="13.5">
      <c r="B15" s="2" t="s">
        <v>19</v>
      </c>
      <c r="C15" s="1" t="s">
        <v>20</v>
      </c>
      <c r="D15" s="4" t="s">
        <v>21</v>
      </c>
      <c r="E15" s="1" t="s">
        <v>22</v>
      </c>
      <c r="F15" s="3" t="s">
        <v>7</v>
      </c>
      <c r="L15" t="s">
        <v>23</v>
      </c>
      <c r="M15" t="s">
        <v>20</v>
      </c>
      <c r="S15" t="s">
        <v>24</v>
      </c>
      <c r="U15" t="s">
        <v>25</v>
      </c>
      <c r="W15" t="s">
        <v>24</v>
      </c>
      <c r="X15" t="s">
        <v>26</v>
      </c>
      <c r="AA15" t="s">
        <v>24</v>
      </c>
      <c r="AB15" t="s">
        <v>22</v>
      </c>
    </row>
    <row r="16" spans="2:28" ht="13.5">
      <c r="B16" s="5" t="s">
        <v>27</v>
      </c>
      <c r="C16" s="15">
        <f>S16</f>
        <v>8892300</v>
      </c>
      <c r="D16" s="19">
        <f>W16+AA16</f>
        <v>2683000</v>
      </c>
      <c r="E16" s="15">
        <f>AB16</f>
        <v>1453500</v>
      </c>
      <c r="F16" s="20">
        <f>SUM(C16:E16)</f>
        <v>13028800</v>
      </c>
      <c r="L16" s="17">
        <f>IF($C$3-$C$6-$C$7-$C$8-380000&lt;=0,0,IF(C3-C6-C7-C8&lt;380000,C3-C6-C7-C8,C3-C6-C7-C8-380000))</f>
        <v>31590000</v>
      </c>
      <c r="M16">
        <f>IF(L16&lt;=1950000,L16*0.05,0)</f>
        <v>0</v>
      </c>
      <c r="N16">
        <f>IF(IF(L16&lt;=1950000,"",L16)&lt;=3300000,L16*0.1-97500,"")</f>
      </c>
      <c r="O16">
        <f>IF(IF(L16&lt;=3300000,"",L16)&lt;=6950000,L16*0.2-427500,"")</f>
      </c>
      <c r="P16">
        <f>IF(IF(L16&lt;=6950000,"",L16)&lt;=9000000,L16*0.23-636000,"")</f>
      </c>
      <c r="Q16">
        <f>IF(IF(L16&lt;=9000000,"",L16)&lt;=18000000,L16*0.33-1536000,"")</f>
      </c>
      <c r="R16" s="25">
        <f>IF(IF(L16&lt;=18000000,"",L16)&lt;=990000000,L16*0.37-2796000,"")</f>
        <v>8892300</v>
      </c>
      <c r="S16">
        <f>SUM(M16:R16)</f>
        <v>8892300</v>
      </c>
      <c r="T16" s="17">
        <f>ROUNDDOWN(IF($C$3-$C$6-$C$7-$C$8-330000&lt;=0,0,IF(C3-C6-C7-C8&lt;330000,C3-C6-C7-C8,C3-C6-C7-C8-330000)),-3)</f>
        <v>31640000</v>
      </c>
      <c r="U16">
        <f>IF($C5-$R5-330000&lt;0,0,($C5-$R6-330000)*0.04)</f>
        <v>1094800</v>
      </c>
      <c r="W16" s="25">
        <f>SUM(U16:V16)</f>
        <v>1094800</v>
      </c>
      <c r="X16">
        <f>IF($C5-$R5-330000&lt;0,0,($C5-$R5-330000)*0.06)</f>
        <v>1588200</v>
      </c>
      <c r="AA16">
        <f>SUM(X16:Z16)</f>
        <v>1588200</v>
      </c>
      <c r="AB16">
        <f>IF(L16-2520000&lt;=0,0,(L16-2520000)*0.05)</f>
        <v>1453500</v>
      </c>
    </row>
    <row r="17" spans="2:27" ht="13.5">
      <c r="B17" s="7" t="s">
        <v>28</v>
      </c>
      <c r="C17" s="16">
        <f>S17</f>
        <v>1539600</v>
      </c>
      <c r="D17" s="18">
        <f>W17+AA17</f>
        <v>937000</v>
      </c>
      <c r="E17" s="21" t="s">
        <v>29</v>
      </c>
      <c r="F17" s="22">
        <f>C17+D17</f>
        <v>2476600</v>
      </c>
      <c r="L17" s="17">
        <f>IF($C$6-$R$6-380000&lt;=0,0,$C$6-$R$6-380000)</f>
        <v>9320000</v>
      </c>
      <c r="M17">
        <f>IF(L17&lt;=1950000,L17*0.05,0)</f>
        <v>0</v>
      </c>
      <c r="N17">
        <f>IF(IF(L17&lt;=1950000,"",L17)&lt;=3300000,L17*0.1-97500,"")</f>
      </c>
      <c r="O17">
        <f>IF(IF(L17&lt;=3300000,"",L17)&lt;=6950000,L17*0.2-427500,"")</f>
      </c>
      <c r="P17">
        <f>IF(IF(L17&lt;=6950000,"",L17)&lt;=9000000,L17*0.23-636000,"")</f>
      </c>
      <c r="Q17">
        <f>IF(IF(L17&lt;=9000000,"",L17)&lt;=18000000,L17*0.33-1536000,"")</f>
        <v>1539600</v>
      </c>
      <c r="R17" s="25">
        <f>IF(IF(L17&lt;=18000000,"",L17)&lt;=990000000,L17*0.37-2796000,"")</f>
      </c>
      <c r="S17">
        <f>SUM(M17:R17)</f>
        <v>1539600</v>
      </c>
      <c r="U17">
        <f>IF($C6-$R6-330000&lt;0,0,($C6-$R6-330000)*0.04)</f>
        <v>374800</v>
      </c>
      <c r="W17" s="25">
        <f>SUM(U17:V17)</f>
        <v>374800</v>
      </c>
      <c r="X17">
        <f>IF($C6-$R6-330000&lt;0,0,($C6-$R6-330000)*0.06)</f>
        <v>562200</v>
      </c>
      <c r="AA17">
        <f>SUM(X17:Z17)</f>
        <v>562200</v>
      </c>
    </row>
    <row r="18" spans="2:27" ht="13.5">
      <c r="B18" s="7" t="s">
        <v>30</v>
      </c>
      <c r="C18" s="16">
        <f>S18</f>
        <v>210500</v>
      </c>
      <c r="D18" s="18">
        <f>W18+AA18</f>
        <v>313000</v>
      </c>
      <c r="E18" s="21" t="s">
        <v>29</v>
      </c>
      <c r="F18" s="22">
        <f>C18+D18</f>
        <v>523500</v>
      </c>
      <c r="L18" s="17">
        <f>IF($C$7-$R$7-380000&lt;=0,0,$C$7-$R$7-380000)</f>
        <v>3080000</v>
      </c>
      <c r="M18">
        <f>IF(L18&lt;=1950000,L18*0.05,0)</f>
        <v>0</v>
      </c>
      <c r="N18">
        <f>IF(IF(L18&lt;=1950000,"",L18)&lt;=3300000,L18*0.1-97500,"")</f>
        <v>210500</v>
      </c>
      <c r="O18">
        <f>IF(IF(L18&lt;=3300000,"",L18)&lt;=6950000,L18*0.2-427500,"")</f>
      </c>
      <c r="P18">
        <f>IF(IF(L18&lt;=6950000,"",L18)&lt;=9000000,L18*0.23-636000,"")</f>
      </c>
      <c r="Q18">
        <f>IF(IF(L18&lt;=9000000,"",L18)&lt;=18000000,L18*0.33-1536000,"")</f>
      </c>
      <c r="R18" s="25">
        <f>IF(IF(L18&lt;=18000000,"",L18)&lt;=990000000,L18*0.37-2796000,"")</f>
      </c>
      <c r="S18">
        <f>SUM(M18:R18)</f>
        <v>210500</v>
      </c>
      <c r="U18">
        <f>IF($C7-$R7-330000&lt;0,0,($C7-$R7-330000)*0.04)</f>
        <v>125200</v>
      </c>
      <c r="W18" s="25">
        <f>SUM(U18:V18)</f>
        <v>125200</v>
      </c>
      <c r="X18">
        <f>IF($C7-$R7-330000&lt;0,0,($C7-$R7-330000)*0.06)</f>
        <v>187800</v>
      </c>
      <c r="AA18">
        <f>SUM(X18:Z18)</f>
        <v>187800</v>
      </c>
    </row>
    <row r="19" spans="2:27" ht="13.5">
      <c r="B19" s="7" t="s">
        <v>31</v>
      </c>
      <c r="C19" s="16">
        <f>S19</f>
        <v>0</v>
      </c>
      <c r="D19" s="18">
        <f>W19+AA19</f>
        <v>5000</v>
      </c>
      <c r="E19" s="21" t="s">
        <v>29</v>
      </c>
      <c r="F19" s="22">
        <f>C19+D19</f>
        <v>5000</v>
      </c>
      <c r="L19" s="17">
        <f>IF($C$8-$R$8-380000&lt;=0,0,$C$8-$R$8-380000)</f>
        <v>0</v>
      </c>
      <c r="M19">
        <f>IF(L19&lt;=1950000,L19*0.05,0)</f>
        <v>0</v>
      </c>
      <c r="N19">
        <f>IF(IF(L19&lt;=1950000,"",L19)&lt;=3300000,L19*0.1-97500,"")</f>
      </c>
      <c r="O19">
        <f>IF(IF(L19&lt;=3300000,"",L19)&lt;=6950000,L19*0.2-427500,"")</f>
      </c>
      <c r="P19">
        <f>IF(IF(L19&lt;=6950000,"",L19)&lt;=9000000,L19*0.23-636000,"")</f>
      </c>
      <c r="Q19">
        <f>IF(IF(L19&lt;=9000000,"",L19)&lt;=18000000,L19*0.33-1536000,"")</f>
      </c>
      <c r="R19" s="25">
        <f>IF(IF(L19&lt;=18000000,"",L19)&lt;=990000000,L19*0.37-2796000,"")</f>
      </c>
      <c r="S19">
        <f>SUM(M19:R19)</f>
        <v>0</v>
      </c>
      <c r="U19">
        <f>IF($C8-$R8-330000&lt;0,0,($C8-$R8-330000)*0.04)</f>
        <v>2000</v>
      </c>
      <c r="W19" s="25">
        <f>SUM(U19:V19)</f>
        <v>2000</v>
      </c>
      <c r="X19">
        <f>IF($C8-$R8-330000&lt;0,0,($C8-$R8-330000)*0.06)</f>
        <v>3000</v>
      </c>
      <c r="AA19">
        <f>SUM(X19:Z19)</f>
        <v>3000</v>
      </c>
    </row>
    <row r="20" spans="2:6" ht="13.5">
      <c r="B20" s="2" t="s">
        <v>32</v>
      </c>
      <c r="C20" s="14">
        <f>SUM(C16:C19)</f>
        <v>10642400</v>
      </c>
      <c r="D20" s="23">
        <f>SUM(D16:D19)</f>
        <v>3938000</v>
      </c>
      <c r="E20" s="14">
        <f>E16</f>
        <v>1453500</v>
      </c>
      <c r="F20" s="24">
        <f>SUM(F16:F19)</f>
        <v>16033900</v>
      </c>
    </row>
    <row r="21" spans="3:6" ht="13.5">
      <c r="C21" s="25"/>
      <c r="D21" s="25"/>
      <c r="E21" s="25"/>
      <c r="F21" s="25"/>
    </row>
    <row r="22" spans="3:6" ht="13.5">
      <c r="C22" s="25"/>
      <c r="D22" s="25"/>
      <c r="E22" s="25"/>
      <c r="F22" s="25"/>
    </row>
    <row r="23" spans="1:6" ht="13.5">
      <c r="A23" t="s">
        <v>33</v>
      </c>
      <c r="C23" s="25"/>
      <c r="D23" s="25"/>
      <c r="E23" s="25"/>
      <c r="F23" s="25"/>
    </row>
    <row r="24" spans="2:31" ht="13.5">
      <c r="B24" s="5" t="s">
        <v>34</v>
      </c>
      <c r="C24" s="15" t="s">
        <v>20</v>
      </c>
      <c r="D24" s="19" t="s">
        <v>21</v>
      </c>
      <c r="E24" s="15" t="s">
        <v>22</v>
      </c>
      <c r="F24" s="20" t="s">
        <v>7</v>
      </c>
      <c r="L24" t="s">
        <v>23</v>
      </c>
      <c r="M24" t="s">
        <v>35</v>
      </c>
      <c r="S24" t="s">
        <v>24</v>
      </c>
      <c r="U24" t="s">
        <v>25</v>
      </c>
      <c r="W24" t="s">
        <v>24</v>
      </c>
      <c r="X24" t="s">
        <v>26</v>
      </c>
      <c r="AA24" t="s">
        <v>24</v>
      </c>
      <c r="AB24" t="s">
        <v>22</v>
      </c>
      <c r="AE24" t="s">
        <v>24</v>
      </c>
    </row>
    <row r="25" spans="2:31" ht="13.5">
      <c r="B25" s="5" t="s">
        <v>36</v>
      </c>
      <c r="C25" s="15">
        <f>M25</f>
        <v>433400</v>
      </c>
      <c r="D25" s="19">
        <f>W25+AA25+70000</f>
        <v>144900</v>
      </c>
      <c r="E25" s="15">
        <f>AE25</f>
        <v>98500</v>
      </c>
      <c r="F25" s="20">
        <f>SUM(C25:E25)</f>
        <v>676800</v>
      </c>
      <c r="L25" s="17">
        <f>ROUNDDOWN(C10,-3)</f>
        <v>1970000</v>
      </c>
      <c r="M25">
        <f>ROUNDDOWN(IF(L25&lt;=8000000,L25*0.22,L25*0.3-640000),-2)</f>
        <v>433400</v>
      </c>
      <c r="S25">
        <f>M25</f>
        <v>433400</v>
      </c>
      <c r="W25">
        <f>ROUNDDOWN(S25*0.05,-2)</f>
        <v>21600</v>
      </c>
      <c r="AA25">
        <f>ROUNDDOWN(S25*0.123,-2)</f>
        <v>53300</v>
      </c>
      <c r="AB25">
        <f>IF(L25&lt;=4000000,L25*0.05,"")</f>
        <v>98500</v>
      </c>
      <c r="AC25">
        <f>IF(L25&lt;=4000000,"",IF(L25&lt;=8000000,L25*0.073-112000,""))</f>
      </c>
      <c r="AD25">
        <f>IF(L25&lt;=8000000,"",L25*0.096-320000)</f>
      </c>
      <c r="AE25">
        <f>ROUNDDOWN(SUM(AB25:AD25),-2)</f>
        <v>98500</v>
      </c>
    </row>
    <row r="26" spans="2:27" ht="13.5">
      <c r="B26" s="7" t="s">
        <v>27</v>
      </c>
      <c r="C26" s="16">
        <f>S26</f>
        <v>6979400</v>
      </c>
      <c r="D26" s="18">
        <f>W26+AA26</f>
        <v>2647000</v>
      </c>
      <c r="E26" s="21" t="s">
        <v>29</v>
      </c>
      <c r="F26" s="22">
        <f>SUM(C26:E26)</f>
        <v>9626400</v>
      </c>
      <c r="L26" s="17">
        <f>IF($C$5-$R$5-380000&lt;=0,0,$C$5-$R$5-380000)</f>
        <v>26420000</v>
      </c>
      <c r="M26">
        <f>IF(L26&lt;=1950000,L26*0.05,0)</f>
        <v>0</v>
      </c>
      <c r="N26">
        <f>IF(IF(L26&lt;=1950000,"",L26)&lt;=3300000,L26*0.1-97500,"")</f>
      </c>
      <c r="O26">
        <f>IF(IF(L26&lt;=3300000,"",L26)&lt;=6950000,L26*0.2-427500,"")</f>
      </c>
      <c r="P26">
        <f>IF(IF(L26&lt;=6950000,"",L26)&lt;=9000000,L26*0.23-636000,"")</f>
      </c>
      <c r="Q26">
        <f>IF(IF(L26&lt;=9000000,"",L26)&lt;=18000000,L26*0.33-1536000,"")</f>
      </c>
      <c r="R26" s="25">
        <f>IF(IF(L26&lt;=18000000,"",L26)&lt;=990000000,L26*0.37-2796000,"")</f>
        <v>6979400</v>
      </c>
      <c r="S26">
        <f>SUM(M26:R26)</f>
        <v>6979400</v>
      </c>
      <c r="U26">
        <f>IF($C5-$R5-330000&lt;0,0,($C5-$R5-330000)*0.04)</f>
        <v>1058800</v>
      </c>
      <c r="W26" s="25">
        <f>SUM(U26:V26)</f>
        <v>1058800</v>
      </c>
      <c r="X26">
        <f>IF($C5-$R5-330000&lt;0,0,($C5-$R5-330000)*0.06)</f>
        <v>1588200</v>
      </c>
      <c r="AA26">
        <f>SUM(X26:Z26)</f>
        <v>1588200</v>
      </c>
    </row>
    <row r="27" spans="2:27" ht="13.5">
      <c r="B27" s="7" t="s">
        <v>28</v>
      </c>
      <c r="C27" s="16">
        <f>S27</f>
        <v>1539600</v>
      </c>
      <c r="D27" s="18">
        <f>W27+AA27</f>
        <v>937000</v>
      </c>
      <c r="E27" s="21" t="s">
        <v>29</v>
      </c>
      <c r="F27" s="22">
        <f>C27+D27</f>
        <v>2476600</v>
      </c>
      <c r="L27" s="17">
        <f>IF($C$6-$R$6-380000&lt;=0,0,$C$6-$R$6-380000)</f>
        <v>9320000</v>
      </c>
      <c r="M27">
        <f>IF(L27&lt;=1950000,L27*0.05,0)</f>
        <v>0</v>
      </c>
      <c r="N27">
        <f>IF(IF(L27&lt;=1950000,"",L27)&lt;=3300000,L27*0.1-97500,"")</f>
      </c>
      <c r="O27">
        <f>IF(IF(L27&lt;=3300000,"",L27)&lt;=6950000,L27*0.2-427500,"")</f>
      </c>
      <c r="P27">
        <f>IF(IF(L27&lt;=6950000,"",L27)&lt;=9000000,L27*0.23-636000,"")</f>
      </c>
      <c r="Q27">
        <f>IF(IF(L27&lt;=9000000,"",L27)&lt;=18000000,L27*0.33-1536000,"")</f>
        <v>1539600</v>
      </c>
      <c r="R27" s="25">
        <f>IF(IF(L27&lt;=18000000,"",L27)&lt;=990000000,L27*0.37-2796000,"")</f>
      </c>
      <c r="S27">
        <f>SUM(M27:R27)</f>
        <v>1539600</v>
      </c>
      <c r="U27">
        <f>IF($C6-$R6-330000&lt;0,0,($C6-$R6-330000)*0.04)</f>
        <v>374800</v>
      </c>
      <c r="W27" s="25">
        <f>SUM(U27:V27)</f>
        <v>374800</v>
      </c>
      <c r="X27">
        <f>IF($C6-$R6-330000&lt;0,0,($C6-$R6-330000)*0.06)</f>
        <v>562200</v>
      </c>
      <c r="AA27">
        <f>SUM(X27:Z27)</f>
        <v>562200</v>
      </c>
    </row>
    <row r="28" spans="2:27" ht="13.5">
      <c r="B28" s="7" t="s">
        <v>30</v>
      </c>
      <c r="C28" s="16">
        <f>S28</f>
        <v>210500</v>
      </c>
      <c r="D28" s="18">
        <f>W28+AA28</f>
        <v>313000</v>
      </c>
      <c r="E28" s="21" t="s">
        <v>29</v>
      </c>
      <c r="F28" s="22">
        <f>C28+D28</f>
        <v>523500</v>
      </c>
      <c r="L28" s="17">
        <f>IF($C$7-$R$7-380000&lt;=0,0,$C$7-$R$7-380000)</f>
        <v>3080000</v>
      </c>
      <c r="M28">
        <f>IF(L28&lt;=1950000,L28*0.05,0)</f>
        <v>0</v>
      </c>
      <c r="N28">
        <f>IF(IF(L28&lt;=1950000,"",L28)&lt;=3300000,L28*0.1-97500,"")</f>
        <v>210500</v>
      </c>
      <c r="O28">
        <f>IF(IF(L28&lt;=3300000,"",L28)&lt;=6950000,L28*0.2-427500,"")</f>
      </c>
      <c r="P28">
        <f>IF(IF(L28&lt;=6950000,"",L28)&lt;=9000000,L28*0.23-636000,"")</f>
      </c>
      <c r="Q28">
        <f>IF(IF(L28&lt;=9000000,"",L28)&lt;=18000000,L28*0.33-1536000,"")</f>
      </c>
      <c r="R28" s="25">
        <f>IF(IF(L28&lt;=18000000,"",L28)&lt;=990000000,L28*0.37-2796000,"")</f>
      </c>
      <c r="S28">
        <f>SUM(M28:R28)</f>
        <v>210500</v>
      </c>
      <c r="U28">
        <f>IF($C7-$R7-330000&lt;0,0,($C7-$R7-330000)*0.04)</f>
        <v>125200</v>
      </c>
      <c r="W28" s="25">
        <f>SUM(U28:V28)</f>
        <v>125200</v>
      </c>
      <c r="X28">
        <f>IF($C7-$R7-330000&lt;0,0,($C7-$R7-330000)*0.06)</f>
        <v>187800</v>
      </c>
      <c r="AA28">
        <f>SUM(X28:Z28)</f>
        <v>187800</v>
      </c>
    </row>
    <row r="29" spans="2:27" ht="13.5">
      <c r="B29" s="9" t="s">
        <v>31</v>
      </c>
      <c r="C29" s="26">
        <f>S29</f>
        <v>0</v>
      </c>
      <c r="D29" s="27">
        <f>W29+AA29</f>
        <v>5000</v>
      </c>
      <c r="E29" s="28" t="s">
        <v>29</v>
      </c>
      <c r="F29" s="29">
        <f>C29+D29</f>
        <v>5000</v>
      </c>
      <c r="L29" s="17">
        <f>IF($C$8-$R$8-380000&lt;=0,0,$C$8-$R$8-380000)</f>
        <v>0</v>
      </c>
      <c r="M29">
        <f>IF(L29&lt;=1950000,L29*0.05,0)</f>
        <v>0</v>
      </c>
      <c r="N29">
        <f>IF(IF(L29&lt;=1950000,"",L29)&lt;=3300000,L29*0.1-97500,"")</f>
      </c>
      <c r="O29">
        <f>IF(IF(L29&lt;=3300000,"",L29)&lt;=6950000,L29*0.2-427500,"")</f>
      </c>
      <c r="P29">
        <f>IF(IF(L29&lt;=6950000,"",L29)&lt;=9000000,L29*0.23-636000,"")</f>
      </c>
      <c r="Q29">
        <f>IF(IF(L29&lt;=9000000,"",L29)&lt;=18000000,L29*0.33-1536000,"")</f>
      </c>
      <c r="R29" s="25">
        <f>IF(IF(L29&lt;=18000000,"",L29)&lt;=990000000,L29*0.37-2796000,"")</f>
      </c>
      <c r="S29">
        <f>SUM(M29:R29)</f>
        <v>0</v>
      </c>
      <c r="U29">
        <f>IF($C8-$R8-330000&lt;0,0,($C8-$R8-330000)*0.04)</f>
        <v>2000</v>
      </c>
      <c r="W29" s="25">
        <f>SUM(U29:V29)</f>
        <v>2000</v>
      </c>
      <c r="X29">
        <f>IF($C8-$R8-330000&lt;0,0,($C8-$R8-330000)*0.06)</f>
        <v>3000</v>
      </c>
      <c r="AA29">
        <f>SUM(X29:Z29)</f>
        <v>3000</v>
      </c>
    </row>
    <row r="30" spans="2:6" ht="13.5">
      <c r="B30" s="9" t="s">
        <v>37</v>
      </c>
      <c r="C30" s="26">
        <f>SUM(C25:C29)</f>
        <v>9162900</v>
      </c>
      <c r="D30" s="27">
        <f>SUM(D25:D29)</f>
        <v>4046900</v>
      </c>
      <c r="E30" s="26">
        <f>SUM(E25:E29)</f>
        <v>98500</v>
      </c>
      <c r="F30" s="29">
        <f>SUM(F25:F29)</f>
        <v>13308300</v>
      </c>
    </row>
    <row r="32" spans="5:6" ht="13.5">
      <c r="E32" s="2" t="s">
        <v>38</v>
      </c>
      <c r="F32" s="3" t="str">
        <f>IF(F20&gt;F30,"　会社　","　個人　")</f>
        <v>　会社　</v>
      </c>
    </row>
    <row r="33" spans="5:6" ht="13.5">
      <c r="E33" s="9" t="s">
        <v>39</v>
      </c>
      <c r="F33" s="35">
        <f>ABS(F30-F20)</f>
        <v>2725600</v>
      </c>
    </row>
  </sheetData>
  <printOptions/>
  <pageMargins left="0.75" right="0.75" top="1" bottom="1" header="0.512" footer="0.512"/>
  <pageSetup horizontalDpi="600" verticalDpi="600" orientation="landscape" paperSize="9" r:id="rId2"/>
  <headerFooter alignWithMargins="0">
    <oddFooter>&amp;L会社か個人か.xls&amp;R&amp;D &amp;T</oddFooter>
  </headerFooter>
  <legacyDrawing r:id="rId1"/>
</worksheet>
</file>

<file path=xl/worksheets/sheet2.xml><?xml version="1.0" encoding="utf-8"?>
<worksheet xmlns="http://schemas.openxmlformats.org/spreadsheetml/2006/main" xmlns:r="http://schemas.openxmlformats.org/officeDocument/2006/relationships">
  <dimension ref="A1:J36"/>
  <sheetViews>
    <sheetView workbookViewId="0" topLeftCell="A1">
      <selection activeCell="A2" sqref="A2"/>
    </sheetView>
  </sheetViews>
  <sheetFormatPr defaultColWidth="8.796875" defaultRowHeight="14.25"/>
  <cols>
    <col min="2" max="2" width="11.8984375" style="0" customWidth="1"/>
    <col min="3" max="3" width="10.8984375" style="0" customWidth="1"/>
    <col min="10" max="10" width="24" style="0" customWidth="1"/>
  </cols>
  <sheetData>
    <row r="1" ht="13.5">
      <c r="A1" t="s">
        <v>40</v>
      </c>
    </row>
    <row r="3" spans="1:10" ht="13.5">
      <c r="A3" s="2" t="s">
        <v>2</v>
      </c>
      <c r="B3" s="3"/>
      <c r="C3" s="30">
        <v>37500000</v>
      </c>
      <c r="D3" s="2" t="s">
        <v>3</v>
      </c>
      <c r="E3" s="4"/>
      <c r="F3" s="4"/>
      <c r="G3" s="4"/>
      <c r="H3" s="4"/>
      <c r="I3" s="4"/>
      <c r="J3" s="3"/>
    </row>
    <row r="4" spans="1:10" ht="13.5">
      <c r="A4" s="5" t="s">
        <v>5</v>
      </c>
      <c r="B4" s="6"/>
      <c r="C4" s="15"/>
      <c r="D4" s="5" t="s">
        <v>6</v>
      </c>
      <c r="E4" s="12"/>
      <c r="F4" s="12"/>
      <c r="G4" s="12"/>
      <c r="H4" s="12"/>
      <c r="I4" s="12"/>
      <c r="J4" s="6"/>
    </row>
    <row r="5" spans="1:10" ht="13.5">
      <c r="A5" s="7"/>
      <c r="B5" s="10" t="s">
        <v>8</v>
      </c>
      <c r="C5" s="32">
        <v>10000000</v>
      </c>
      <c r="D5" s="7" t="s">
        <v>9</v>
      </c>
      <c r="E5" s="13"/>
      <c r="F5" s="13"/>
      <c r="G5" s="13"/>
      <c r="H5" s="13"/>
      <c r="I5" s="13"/>
      <c r="J5" s="8"/>
    </row>
    <row r="6" spans="1:10" ht="13.5">
      <c r="A6" s="7"/>
      <c r="B6" s="11" t="s">
        <v>10</v>
      </c>
      <c r="C6" s="31">
        <v>10000000</v>
      </c>
      <c r="D6" s="7" t="s">
        <v>11</v>
      </c>
      <c r="E6" s="13"/>
      <c r="F6" s="13"/>
      <c r="G6" s="13"/>
      <c r="H6" s="13"/>
      <c r="I6" s="13"/>
      <c r="J6" s="8"/>
    </row>
    <row r="7" spans="1:10" ht="13.5">
      <c r="A7" s="7"/>
      <c r="B7" s="11" t="s">
        <v>12</v>
      </c>
      <c r="C7" s="31">
        <v>5000000</v>
      </c>
      <c r="D7" s="7" t="s">
        <v>62</v>
      </c>
      <c r="E7" s="13"/>
      <c r="F7" s="13"/>
      <c r="G7" s="13"/>
      <c r="H7" s="13"/>
      <c r="I7" s="13"/>
      <c r="J7" s="8"/>
    </row>
    <row r="8" spans="1:10" ht="13.5">
      <c r="A8" s="7"/>
      <c r="B8" s="11" t="s">
        <v>13</v>
      </c>
      <c r="C8" s="33">
        <v>2500000</v>
      </c>
      <c r="D8" s="7" t="s">
        <v>14</v>
      </c>
      <c r="E8" s="13"/>
      <c r="F8" s="13"/>
      <c r="G8" s="13"/>
      <c r="H8" s="13"/>
      <c r="I8" s="13"/>
      <c r="J8" s="8"/>
    </row>
    <row r="9" spans="1:10" ht="13.5">
      <c r="A9" s="9"/>
      <c r="B9" s="1" t="s">
        <v>15</v>
      </c>
      <c r="C9" s="14">
        <f>SUM(C5:C8)</f>
        <v>27500000</v>
      </c>
      <c r="D9" s="2" t="s">
        <v>16</v>
      </c>
      <c r="E9" s="4"/>
      <c r="F9" s="4"/>
      <c r="G9" s="4"/>
      <c r="H9" s="4"/>
      <c r="I9" s="4"/>
      <c r="J9" s="3"/>
    </row>
    <row r="10" spans="1:10" ht="13.5">
      <c r="A10" s="2" t="s">
        <v>17</v>
      </c>
      <c r="B10" s="3"/>
      <c r="C10" s="14">
        <f>IF(C3-C9&lt;=0,0,C3-C9)</f>
        <v>10000000</v>
      </c>
      <c r="D10" s="2"/>
      <c r="E10" s="4"/>
      <c r="F10" s="4"/>
      <c r="G10" s="4"/>
      <c r="H10" s="4"/>
      <c r="I10" s="4"/>
      <c r="J10" s="3"/>
    </row>
    <row r="12" ht="13.5">
      <c r="A12" t="s">
        <v>41</v>
      </c>
    </row>
    <row r="13" ht="13.5">
      <c r="A13" t="s">
        <v>42</v>
      </c>
    </row>
    <row r="14" ht="13.5">
      <c r="A14" t="s">
        <v>43</v>
      </c>
    </row>
    <row r="15" ht="13.5">
      <c r="A15" t="s">
        <v>44</v>
      </c>
    </row>
    <row r="16" ht="13.5">
      <c r="A16" t="s">
        <v>45</v>
      </c>
    </row>
    <row r="17" ht="13.5">
      <c r="A17" t="s">
        <v>46</v>
      </c>
    </row>
    <row r="18" ht="13.5">
      <c r="A18" t="s">
        <v>47</v>
      </c>
    </row>
    <row r="19" ht="13.5">
      <c r="A19" t="s">
        <v>48</v>
      </c>
    </row>
    <row r="20" ht="13.5">
      <c r="A20" t="s">
        <v>49</v>
      </c>
    </row>
    <row r="21" ht="13.5">
      <c r="A21" t="s">
        <v>50</v>
      </c>
    </row>
    <row r="23" ht="13.5">
      <c r="A23" t="s">
        <v>51</v>
      </c>
    </row>
    <row r="24" ht="13.5">
      <c r="A24" t="s">
        <v>56</v>
      </c>
    </row>
    <row r="25" ht="13.5">
      <c r="A25" t="s">
        <v>57</v>
      </c>
    </row>
    <row r="26" ht="13.5">
      <c r="A26" t="s">
        <v>52</v>
      </c>
    </row>
    <row r="27" ht="13.5">
      <c r="A27" t="s">
        <v>53</v>
      </c>
    </row>
    <row r="28" ht="13.5">
      <c r="A28" t="s">
        <v>54</v>
      </c>
    </row>
    <row r="30" ht="13.5">
      <c r="A30" t="s">
        <v>61</v>
      </c>
    </row>
    <row r="32" ht="13.5">
      <c r="A32" t="s">
        <v>58</v>
      </c>
    </row>
    <row r="33" ht="13.5">
      <c r="A33" t="s">
        <v>59</v>
      </c>
    </row>
    <row r="34" ht="13.5">
      <c r="A34" t="s">
        <v>60</v>
      </c>
    </row>
    <row r="36" ht="13.5">
      <c r="A36" t="s">
        <v>63</v>
      </c>
    </row>
  </sheetData>
  <printOptions/>
  <pageMargins left="0.75" right="0.75" top="1" bottom="1" header="0.512" footer="0.512"/>
  <pageSetup horizontalDpi="300" verticalDpi="300" orientation="landscape" paperSize="9" r:id="rId1"/>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佐久間会計事務所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H.SAKUMA</dc:creator>
  <cp:keywords/>
  <dc:description/>
  <cp:lastModifiedBy>US9</cp:lastModifiedBy>
  <cp:lastPrinted>2008-03-14T05:16:05Z</cp:lastPrinted>
  <dcterms:created xsi:type="dcterms:W3CDTF">1996-10-28T08:23:22Z</dcterms:created>
  <dcterms:modified xsi:type="dcterms:W3CDTF">2008-03-14T05:21:30Z</dcterms:modified>
  <cp:category/>
  <cp:version/>
  <cp:contentType/>
  <cp:contentStatus/>
</cp:coreProperties>
</file>